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ASUS\Desktop\GTA\Parque de la Familia Final\Hidrosanitario\Memorias\"/>
    </mc:Choice>
  </mc:AlternateContent>
  <xr:revisionPtr revIDLastSave="0" documentId="13_ncr:1_{F5B95BA7-15D2-488E-A063-66FD51ABA0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  <sheet name="Diseño ARD" sheetId="2" state="hidden" r:id="rId2"/>
    <sheet name="Hoja3" sheetId="3" r:id="rId3"/>
  </sheets>
  <definedNames>
    <definedName name="_Toc197702506" localSheetId="0">Hoja1!#REF!</definedName>
    <definedName name="_Toc197702524" localSheetId="2">Hoja3!$J$2</definedName>
    <definedName name="_Toc197702525" localSheetId="2">Hoja1!$C$12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H13" i="1"/>
  <c r="I13" i="1" s="1"/>
  <c r="J13" i="1" s="1"/>
  <c r="K13" i="1"/>
  <c r="F14" i="1"/>
  <c r="H14" i="1"/>
  <c r="K14" i="1"/>
  <c r="J9" i="1"/>
  <c r="E9" i="1"/>
  <c r="F9" i="1" s="1"/>
  <c r="I9" i="1"/>
  <c r="C25" i="2"/>
  <c r="E5" i="1"/>
  <c r="G5" i="1" s="1"/>
  <c r="I5" i="1" s="1"/>
  <c r="M5" i="1" s="1"/>
  <c r="N5" i="1" s="1"/>
  <c r="E4" i="1"/>
  <c r="G4" i="1" s="1"/>
  <c r="I4" i="1" s="1"/>
  <c r="K4" i="1" s="1"/>
  <c r="C20" i="3"/>
  <c r="C12" i="3"/>
  <c r="C8" i="3"/>
  <c r="I14" i="1" l="1"/>
  <c r="J14" i="1" s="1"/>
  <c r="L14" i="1" s="1"/>
  <c r="M14" i="1" s="1"/>
  <c r="L13" i="1"/>
  <c r="M13" i="1" s="1"/>
  <c r="G9" i="1"/>
  <c r="H9" i="1" s="1"/>
  <c r="M4" i="1"/>
  <c r="N4" i="1" s="1"/>
  <c r="O4" i="1" s="1"/>
  <c r="K5" i="1"/>
  <c r="O5" i="1"/>
  <c r="C14" i="3"/>
  <c r="C16" i="3" l="1"/>
  <c r="C17" i="3" s="1"/>
  <c r="C23" i="3" l="1"/>
  <c r="C22" i="3"/>
  <c r="C28" i="3"/>
  <c r="C29" i="3" s="1"/>
  <c r="C6" i="2" l="1"/>
  <c r="C8" i="2" s="1"/>
  <c r="C10" i="2" s="1"/>
  <c r="C12" i="2" s="1"/>
  <c r="C18" i="2" s="1"/>
  <c r="C19" i="2" s="1"/>
  <c r="C20" i="2" s="1"/>
  <c r="C26" i="2" s="1"/>
</calcChain>
</file>

<file path=xl/sharedStrings.xml><?xml version="1.0" encoding="utf-8"?>
<sst xmlns="http://schemas.openxmlformats.org/spreadsheetml/2006/main" count="98" uniqueCount="73">
  <si>
    <t>Q_MD</t>
  </si>
  <si>
    <t>k1</t>
  </si>
  <si>
    <t>Q_MH</t>
  </si>
  <si>
    <t>v</t>
  </si>
  <si>
    <t>m/s</t>
  </si>
  <si>
    <t>A</t>
  </si>
  <si>
    <t>m3/s</t>
  </si>
  <si>
    <t>m2</t>
  </si>
  <si>
    <t>m</t>
  </si>
  <si>
    <t>in</t>
  </si>
  <si>
    <t>Q_D</t>
  </si>
  <si>
    <t>C_R</t>
  </si>
  <si>
    <t>P</t>
  </si>
  <si>
    <t>D_NETA</t>
  </si>
  <si>
    <t>L/hab/dia</t>
  </si>
  <si>
    <t>hab</t>
  </si>
  <si>
    <t>F</t>
  </si>
  <si>
    <t>L/s</t>
  </si>
  <si>
    <t>Q_INF</t>
  </si>
  <si>
    <t>Q_CE</t>
  </si>
  <si>
    <t>Q_DT</t>
  </si>
  <si>
    <t>L/s*ha</t>
  </si>
  <si>
    <t>n</t>
  </si>
  <si>
    <t>D</t>
  </si>
  <si>
    <t>s</t>
  </si>
  <si>
    <t>C</t>
  </si>
  <si>
    <t>L</t>
  </si>
  <si>
    <t>S</t>
  </si>
  <si>
    <t>Te</t>
  </si>
  <si>
    <t>min</t>
  </si>
  <si>
    <t>Tt</t>
  </si>
  <si>
    <t>TC</t>
  </si>
  <si>
    <t>i</t>
  </si>
  <si>
    <t>mm/h</t>
  </si>
  <si>
    <t>lt/he</t>
  </si>
  <si>
    <t>ha</t>
  </si>
  <si>
    <t>Q</t>
  </si>
  <si>
    <t>Dotacion Neta</t>
  </si>
  <si>
    <t>% Perdidas</t>
  </si>
  <si>
    <t>k2</t>
  </si>
  <si>
    <t>Diametro tuberia (in)</t>
  </si>
  <si>
    <t>Diámetro de red externa de bloque (m)</t>
  </si>
  <si>
    <t>Redes Hidraulicas</t>
  </si>
  <si>
    <t>Diametro Acometida</t>
  </si>
  <si>
    <t>DISEÑO DE AGUAS RESIDUALES DOMESTICAS.</t>
  </si>
  <si>
    <t>Coeficiente de Retorno</t>
  </si>
  <si>
    <t>Poblacion
(hab)</t>
  </si>
  <si>
    <t>Dotacion Bruta
(l/han/dia)</t>
  </si>
  <si>
    <t>Caudal md
(l/s)</t>
  </si>
  <si>
    <t>Cauldal MD
(l/s)</t>
  </si>
  <si>
    <t>Caudal MH
(l/s)</t>
  </si>
  <si>
    <t>v
(m/s)</t>
  </si>
  <si>
    <t>Area
(m2)</t>
  </si>
  <si>
    <t>Consumo doméstico 
(m/s)</t>
  </si>
  <si>
    <t>Caudal MD
(m/s)</t>
  </si>
  <si>
    <t xml:space="preserve">Factor de mayoración </t>
  </si>
  <si>
    <t>Diametro de la tubería (in)</t>
  </si>
  <si>
    <t>Caudal de diseño
(m3/s)</t>
  </si>
  <si>
    <t>RED DE AGUA LLUVIA</t>
  </si>
  <si>
    <t>Coeficiente de escorrentia</t>
  </si>
  <si>
    <t>Longitud 
(m)</t>
  </si>
  <si>
    <t>Pendiente</t>
  </si>
  <si>
    <t>Tiempo de entrada 
(min)</t>
  </si>
  <si>
    <t>Vel
(m/s)</t>
  </si>
  <si>
    <t>Tiempo de Recorrido
(min)</t>
  </si>
  <si>
    <t>Tiempo de concentracion
(min)</t>
  </si>
  <si>
    <t>Intensidad de precipitacion
(L/S/HA)</t>
  </si>
  <si>
    <t>Area
(ha)</t>
  </si>
  <si>
    <t>Caudal de Diseño
(m3/s)</t>
  </si>
  <si>
    <t>Diámetro de tubería
(in)</t>
  </si>
  <si>
    <t>Colector Principal</t>
  </si>
  <si>
    <t>Bajantes de Agua lluvia</t>
  </si>
  <si>
    <t>DISEÑO DE REDES HIDRAULICAS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</si>
</sst>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%"/>
    <numFmt numFmtId="166" formatCode="0.0000"/>
    <numFmt numFmtId="167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121920</xdr:colOff>
      <xdr:row>4</xdr:row>
      <xdr:rowOff>99060</xdr:rowOff>
    </xdr:from>
    <xdr:to>
      <xdr:col>6</xdr:col>
      <xdr:colOff>670560</xdr:colOff>
      <xdr:row>6</xdr:row>
      <xdr:rowOff>106680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786470-C7F6-FF86-E6B4-D0FEE0412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4320" y="830580"/>
          <a:ext cx="1341120" cy="373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99060</xdr:colOff>
      <xdr:row>8</xdr:row>
      <xdr:rowOff>15240</xdr:rowOff>
    </xdr:from>
    <xdr:to>
      <xdr:col>5</xdr:col>
      <xdr:colOff>784860</xdr:colOff>
      <xdr:row>10</xdr:row>
      <xdr:rowOff>83820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FA6537-AA43-5248-A7A1-2AE547E3A8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1460" y="1478280"/>
          <a:ext cx="685800" cy="434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68580</xdr:colOff>
      <xdr:row>10</xdr:row>
      <xdr:rowOff>175260</xdr:rowOff>
    </xdr:from>
    <xdr:to>
      <xdr:col>6</xdr:col>
      <xdr:colOff>281940</xdr:colOff>
      <xdr:row>12</xdr:row>
      <xdr:rowOff>30480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27AE9E6-7216-BE13-BF1B-65A253E1F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0980" y="2004060"/>
          <a:ext cx="1005840" cy="220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99060</xdr:colOff>
      <xdr:row>17</xdr:row>
      <xdr:rowOff>0</xdr:rowOff>
    </xdr:from>
    <xdr:to>
      <xdr:col>7</xdr:col>
      <xdr:colOff>152400</xdr:colOff>
      <xdr:row>18</xdr:row>
      <xdr:rowOff>22860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E7AF071-47B7-5B42-CB89-A1A81F621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1460" y="3108960"/>
          <a:ext cx="16383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106680</xdr:colOff>
      <xdr:row>23</xdr:row>
      <xdr:rowOff>114300</xdr:rowOff>
    </xdr:from>
    <xdr:to>
      <xdr:col>6</xdr:col>
      <xdr:colOff>754380</xdr:colOff>
      <xdr:row>25</xdr:row>
      <xdr:rowOff>129540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0B16340-708B-072E-8B6C-3F331CB05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9080" y="4320540"/>
          <a:ext cx="144018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586741</xdr:colOff>
      <xdr:row>6</xdr:row>
      <xdr:rowOff>155464</xdr:rowOff>
    </xdr:from>
    <xdr:to>
      <xdr:col>6</xdr:col>
      <xdr:colOff>754381</xdr:colOff>
      <xdr:row>8</xdr:row>
      <xdr:rowOff>173443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6CA429-86EA-4A3C-BC8A-EB0BF99C3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30741" y="2350024"/>
          <a:ext cx="1752600" cy="383739"/>
        </a:xfrm>
        <a:prstGeom prst="rect">
          <a:avLst/>
        </a:prstGeom>
      </xdr:spPr>
    </xdr:pic>
    <xdr:clientData/>
  </xdr:twoCellAnchor>
  <xdr:twoCellAnchor>
    <xdr:from>
      <xdr:col>5</xdr:col>
      <xdr:colOff>563880</xdr:colOff>
      <xdr:row>22</xdr:row>
      <xdr:rowOff>45720</xdr:rowOff>
    </xdr:from>
    <xdr:to>
      <xdr:col>7</xdr:col>
      <xdr:colOff>350520</xdr:colOff>
      <xdr:row>23</xdr:row>
      <xdr:rowOff>68580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87CD2AA2-91B5-4491-9EB4-E5B538DFF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6280" y="3703320"/>
          <a:ext cx="1371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243840</xdr:colOff>
      <xdr:row>6</xdr:row>
      <xdr:rowOff>30480</xdr:rowOff>
    </xdr:from>
    <xdr:to>
      <xdr:col>9</xdr:col>
      <xdr:colOff>15240</xdr:colOff>
      <xdr:row>9</xdr:row>
      <xdr:rowOff>22860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10C53A0-10FE-4A6C-8847-0A6D29774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944880"/>
          <a:ext cx="1356360" cy="54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632460</xdr:colOff>
      <xdr:row>10</xdr:row>
      <xdr:rowOff>144780</xdr:rowOff>
    </xdr:from>
    <xdr:to>
      <xdr:col>5</xdr:col>
      <xdr:colOff>754380</xdr:colOff>
      <xdr:row>12</xdr:row>
      <xdr:rowOff>175260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9EF12F0E-1E68-47FE-B2FD-B23441C73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2380" y="1790700"/>
          <a:ext cx="91440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335280</xdr:colOff>
      <xdr:row>13</xdr:row>
      <xdr:rowOff>22860</xdr:rowOff>
    </xdr:from>
    <xdr:to>
      <xdr:col>7</xdr:col>
      <xdr:colOff>434340</xdr:colOff>
      <xdr:row>14</xdr:row>
      <xdr:rowOff>45720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EDA1F948-A6DD-4184-B432-784D523FE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0160" y="2217420"/>
          <a:ext cx="8915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381000</xdr:colOff>
      <xdr:row>25</xdr:row>
      <xdr:rowOff>53340</xdr:rowOff>
    </xdr:from>
    <xdr:to>
      <xdr:col>7</xdr:col>
      <xdr:colOff>358140</xdr:colOff>
      <xdr:row>27</xdr:row>
      <xdr:rowOff>106680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8281037-B5EB-4016-ACD0-C342FCFED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4259580"/>
          <a:ext cx="15621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175260</xdr:colOff>
      <xdr:row>15</xdr:row>
      <xdr:rowOff>22860</xdr:rowOff>
    </xdr:from>
    <xdr:to>
      <xdr:col>8</xdr:col>
      <xdr:colOff>22860</xdr:colOff>
      <xdr:row>17</xdr:row>
      <xdr:rowOff>53340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1FE073A4-0716-408F-A944-FF7FEA1F0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0140" y="2583180"/>
          <a:ext cx="1432560" cy="396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14"/>
  <sheetViews>
    <sheetView tabSelected="1" workbookViewId="0">
      <selection activeCell="A23" sqref="A23"/>
    </sheetView>
  </sheetViews>
  <sheetFormatPr baseColWidth="10" defaultColWidth="8.88671875" defaultRowHeight="14.4" x14ac:dyDescent="0.3"/>
  <cols>
    <col min="2" max="2" width="22.109375" customWidth="1"/>
    <col min="3" max="4" width="14.77734375" customWidth="1"/>
    <col min="5" max="5" width="13.6640625" customWidth="1"/>
    <col min="6" max="6" width="11" customWidth="1"/>
    <col min="7" max="7" width="11.44140625" customWidth="1"/>
    <col min="8" max="8" width="15.88671875" style="2" customWidth="1"/>
    <col min="9" max="9" width="15.6640625" customWidth="1"/>
    <col min="10" max="10" width="13.77734375" style="2" customWidth="1"/>
    <col min="11" max="11" width="10.5546875" customWidth="1"/>
    <col min="12" max="12" width="11.6640625" customWidth="1"/>
    <col min="13" max="13" width="13.6640625" customWidth="1"/>
    <col min="14" max="14" width="17.5546875" customWidth="1"/>
    <col min="15" max="15" width="12" customWidth="1"/>
  </cols>
  <sheetData>
    <row r="2" spans="2:15" x14ac:dyDescent="0.3">
      <c r="B2" s="20" t="s">
        <v>72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2:15" s="6" customFormat="1" ht="41.4" customHeight="1" x14ac:dyDescent="0.3">
      <c r="B3" s="9"/>
      <c r="C3" s="8" t="s">
        <v>37</v>
      </c>
      <c r="D3" s="8" t="s">
        <v>38</v>
      </c>
      <c r="E3" s="10" t="s">
        <v>47</v>
      </c>
      <c r="F3" s="10" t="s">
        <v>46</v>
      </c>
      <c r="G3" s="10" t="s">
        <v>48</v>
      </c>
      <c r="H3" s="8" t="s">
        <v>1</v>
      </c>
      <c r="I3" s="10" t="s">
        <v>49</v>
      </c>
      <c r="J3" s="8" t="s">
        <v>39</v>
      </c>
      <c r="K3" s="10" t="s">
        <v>50</v>
      </c>
      <c r="L3" s="10" t="s">
        <v>51</v>
      </c>
      <c r="M3" s="10" t="s">
        <v>52</v>
      </c>
      <c r="N3" s="10" t="s">
        <v>41</v>
      </c>
      <c r="O3" s="10" t="s">
        <v>40</v>
      </c>
    </row>
    <row r="4" spans="2:15" x14ac:dyDescent="0.3">
      <c r="B4" s="11" t="s">
        <v>42</v>
      </c>
      <c r="C4" s="12">
        <v>50</v>
      </c>
      <c r="D4" s="12">
        <v>0.25</v>
      </c>
      <c r="E4" s="13">
        <f>+C4/(1-D4)</f>
        <v>66.666666666666671</v>
      </c>
      <c r="F4" s="12">
        <v>50</v>
      </c>
      <c r="G4" s="13">
        <f>+F4*E4/86400</f>
        <v>3.8580246913580252E-2</v>
      </c>
      <c r="H4" s="12">
        <v>1.3</v>
      </c>
      <c r="I4" s="13">
        <f>+H4*G4</f>
        <v>5.0154320987654329E-2</v>
      </c>
      <c r="J4" s="12">
        <v>1.6</v>
      </c>
      <c r="K4" s="13">
        <f>+J4*I4</f>
        <v>8.0246913580246937E-2</v>
      </c>
      <c r="L4" s="12">
        <v>1</v>
      </c>
      <c r="M4" s="21">
        <f>+I4*L4*0.001</f>
        <v>5.0154320987654331E-5</v>
      </c>
      <c r="N4" s="13">
        <f>+SQRT(M4/(PI()/4))</f>
        <v>7.9911491552105453E-3</v>
      </c>
      <c r="O4" s="13">
        <f>+N4*39.3701</f>
        <v>0.31461234135555471</v>
      </c>
    </row>
    <row r="5" spans="2:15" x14ac:dyDescent="0.3">
      <c r="B5" s="11" t="s">
        <v>43</v>
      </c>
      <c r="C5" s="12">
        <v>50</v>
      </c>
      <c r="D5" s="12">
        <v>0.25</v>
      </c>
      <c r="E5" s="13">
        <f>+C5/(1-D5)</f>
        <v>66.666666666666671</v>
      </c>
      <c r="F5" s="12">
        <v>50</v>
      </c>
      <c r="G5" s="13">
        <f>+F5*E5/86400</f>
        <v>3.8580246913580252E-2</v>
      </c>
      <c r="H5" s="12">
        <v>1.3</v>
      </c>
      <c r="I5" s="13">
        <f>+H5*2*G5</f>
        <v>0.10030864197530866</v>
      </c>
      <c r="J5" s="12">
        <v>2.6</v>
      </c>
      <c r="K5" s="13">
        <f>+J5*I5</f>
        <v>0.26080246913580252</v>
      </c>
      <c r="L5" s="12">
        <v>1</v>
      </c>
      <c r="M5" s="21">
        <f>+I5*L5*0.001</f>
        <v>1.0030864197530866E-4</v>
      </c>
      <c r="N5" s="13">
        <f>+SQRT(M5/(PI()/4))</f>
        <v>1.1301191514245055E-2</v>
      </c>
      <c r="O5" s="13">
        <f>+N5*39.3701</f>
        <v>0.44492904003497924</v>
      </c>
    </row>
    <row r="6" spans="2:15" x14ac:dyDescent="0.3">
      <c r="B6" s="7"/>
    </row>
    <row r="7" spans="2:15" x14ac:dyDescent="0.3">
      <c r="C7" s="22" t="s">
        <v>44</v>
      </c>
      <c r="D7" s="23"/>
      <c r="E7" s="23"/>
      <c r="F7" s="23"/>
      <c r="G7" s="23"/>
      <c r="H7" s="23"/>
      <c r="I7" s="23"/>
      <c r="J7" s="24"/>
      <c r="K7" s="6"/>
      <c r="L7" s="6"/>
      <c r="M7" s="6"/>
      <c r="N7" s="6"/>
      <c r="O7" s="6"/>
    </row>
    <row r="8" spans="2:15" ht="43.2" x14ac:dyDescent="0.3">
      <c r="C8" s="10" t="s">
        <v>45</v>
      </c>
      <c r="D8" s="10" t="s">
        <v>46</v>
      </c>
      <c r="E8" s="10" t="s">
        <v>53</v>
      </c>
      <c r="F8" s="10" t="s">
        <v>54</v>
      </c>
      <c r="G8" s="10" t="s">
        <v>55</v>
      </c>
      <c r="H8" s="10" t="s">
        <v>50</v>
      </c>
      <c r="I8" s="10" t="s">
        <v>57</v>
      </c>
      <c r="J8" s="10" t="s">
        <v>56</v>
      </c>
    </row>
    <row r="9" spans="2:15" x14ac:dyDescent="0.3">
      <c r="C9" s="14">
        <v>0.85</v>
      </c>
      <c r="D9" s="14">
        <v>50</v>
      </c>
      <c r="E9" s="14">
        <f>+D9</f>
        <v>50</v>
      </c>
      <c r="F9" s="15">
        <f>+(C9*D9*E9)/86400*1.2</f>
        <v>2.9513888888888888E-2</v>
      </c>
      <c r="G9" s="15">
        <f>3.114/(F9^0.062)</f>
        <v>3.8741547928636937</v>
      </c>
      <c r="H9" s="15">
        <f>+F9*G9</f>
        <v>0.1143413740949354</v>
      </c>
      <c r="I9" s="14">
        <f>1.5*0.001</f>
        <v>1.5E-3</v>
      </c>
      <c r="J9" s="15">
        <f>1.548*(0.013*I9/(2%)^0.5)^(3/8)*39.3701</f>
        <v>2.1739889350112942</v>
      </c>
    </row>
    <row r="11" spans="2:15" x14ac:dyDescent="0.3">
      <c r="B11" s="17" t="s">
        <v>58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9"/>
    </row>
    <row r="12" spans="2:15" ht="72" x14ac:dyDescent="0.3">
      <c r="B12" s="11"/>
      <c r="C12" s="10" t="s">
        <v>59</v>
      </c>
      <c r="D12" s="10" t="s">
        <v>60</v>
      </c>
      <c r="E12" s="8" t="s">
        <v>61</v>
      </c>
      <c r="F12" s="10" t="s">
        <v>62</v>
      </c>
      <c r="G12" s="10" t="s">
        <v>63</v>
      </c>
      <c r="H12" s="10" t="s">
        <v>64</v>
      </c>
      <c r="I12" s="10" t="s">
        <v>65</v>
      </c>
      <c r="J12" s="10" t="s">
        <v>66</v>
      </c>
      <c r="K12" s="10" t="s">
        <v>67</v>
      </c>
      <c r="L12" s="10" t="s">
        <v>68</v>
      </c>
      <c r="M12" s="10" t="s">
        <v>69</v>
      </c>
    </row>
    <row r="13" spans="2:15" x14ac:dyDescent="0.3">
      <c r="B13" s="11" t="s">
        <v>71</v>
      </c>
      <c r="C13" s="14">
        <v>0.75</v>
      </c>
      <c r="D13" s="14">
        <v>15</v>
      </c>
      <c r="E13" s="16">
        <v>0.02</v>
      </c>
      <c r="F13" s="15">
        <f>+(0.707*(1.1-C13)*D13^0.5)/(E13^0.5)</f>
        <v>6.7766973427326702</v>
      </c>
      <c r="G13" s="14">
        <v>5</v>
      </c>
      <c r="H13" s="14">
        <f>+D13/(60*G13)</f>
        <v>0.05</v>
      </c>
      <c r="I13" s="15">
        <f>+H13+F13</f>
        <v>6.82669734273267</v>
      </c>
      <c r="J13" s="15">
        <f>3483/((16+I13)^0.9946)</f>
        <v>155.18365858480743</v>
      </c>
      <c r="K13" s="14">
        <f>43/10000</f>
        <v>4.3E-3</v>
      </c>
      <c r="L13" s="13">
        <f>2.78*C13*J13*K13/1000</f>
        <v>1.3912990910420911E-3</v>
      </c>
      <c r="M13" s="12">
        <f>1.548*(0.013*L13/(27%^0.5))^((3/8))*39.3701</f>
        <v>1.297383031861207</v>
      </c>
    </row>
    <row r="14" spans="2:15" x14ac:dyDescent="0.3">
      <c r="B14" s="11" t="s">
        <v>70</v>
      </c>
      <c r="C14" s="14">
        <v>0.75</v>
      </c>
      <c r="D14" s="14">
        <v>15</v>
      </c>
      <c r="E14" s="16">
        <v>0.02</v>
      </c>
      <c r="F14" s="15">
        <f>+(0.707*(1.1-C14)*D14^0.5)/(E14^0.5)</f>
        <v>6.7766973427326702</v>
      </c>
      <c r="G14" s="14">
        <v>5</v>
      </c>
      <c r="H14" s="14">
        <f>+D14/(60*G14)</f>
        <v>0.05</v>
      </c>
      <c r="I14" s="15">
        <f>+H14+F14</f>
        <v>6.82669734273267</v>
      </c>
      <c r="J14" s="15">
        <f>3483/((16+I14)^0.9946)</f>
        <v>155.18365858480743</v>
      </c>
      <c r="K14" s="14">
        <f>136/10000</f>
        <v>1.3599999999999999E-2</v>
      </c>
      <c r="L14" s="13">
        <f>2.78*C14*J14*K14/1000</f>
        <v>4.4003878228307996E-3</v>
      </c>
      <c r="M14" s="12">
        <f>1.548*(0.013*L14/(2%^0.5))^((3/8))*39.3701</f>
        <v>3.2548592642181253</v>
      </c>
    </row>
  </sheetData>
  <mergeCells count="3">
    <mergeCell ref="B11:M11"/>
    <mergeCell ref="B2:O2"/>
    <mergeCell ref="C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AE2C3-3F21-4B29-A444-4E89964F62F9}">
  <dimension ref="B2:T26"/>
  <sheetViews>
    <sheetView topLeftCell="A4" workbookViewId="0">
      <selection activeCell="J13" sqref="J13"/>
    </sheetView>
  </sheetViews>
  <sheetFormatPr baseColWidth="10" defaultRowHeight="14.4" x14ac:dyDescent="0.3"/>
  <cols>
    <col min="2" max="2" width="11.5546875" style="2"/>
    <col min="4" max="4" width="11.5546875" style="2"/>
    <col min="10" max="10" width="20.109375" customWidth="1"/>
    <col min="12" max="12" width="18.44140625" customWidth="1"/>
    <col min="14" max="14" width="13.109375" customWidth="1"/>
    <col min="16" max="16" width="14.77734375" customWidth="1"/>
    <col min="17" max="17" width="13.77734375" customWidth="1"/>
  </cols>
  <sheetData>
    <row r="2" spans="2:20" x14ac:dyDescent="0.3">
      <c r="B2" s="2" t="s">
        <v>11</v>
      </c>
      <c r="C2">
        <v>0.85</v>
      </c>
      <c r="R2" s="6"/>
      <c r="S2" s="6"/>
      <c r="T2" s="6"/>
    </row>
    <row r="3" spans="2:20" s="6" customFormat="1" x14ac:dyDescent="0.3">
      <c r="B3" s="5" t="s">
        <v>12</v>
      </c>
      <c r="C3" s="6">
        <v>50</v>
      </c>
      <c r="D3" s="5" t="s">
        <v>15</v>
      </c>
      <c r="R3" s="5"/>
    </row>
    <row r="4" spans="2:20" x14ac:dyDescent="0.3">
      <c r="B4" s="2" t="s">
        <v>13</v>
      </c>
      <c r="C4">
        <v>50</v>
      </c>
      <c r="D4" s="2" t="s">
        <v>14</v>
      </c>
      <c r="R4" s="2"/>
    </row>
    <row r="6" spans="2:20" x14ac:dyDescent="0.3">
      <c r="B6" s="2" t="s">
        <v>10</v>
      </c>
      <c r="C6">
        <f>+(C2*C3*C4)/86400</f>
        <v>2.4594907407407409E-2</v>
      </c>
      <c r="D6" s="2" t="s">
        <v>17</v>
      </c>
    </row>
    <row r="8" spans="2:20" x14ac:dyDescent="0.3">
      <c r="B8" s="2" t="s">
        <v>0</v>
      </c>
      <c r="C8">
        <f>+C6*1.2</f>
        <v>2.9513888888888888E-2</v>
      </c>
      <c r="D8" s="2" t="s">
        <v>17</v>
      </c>
    </row>
    <row r="10" spans="2:20" x14ac:dyDescent="0.3">
      <c r="B10" s="2" t="s">
        <v>16</v>
      </c>
      <c r="C10">
        <f>3.114/(C8^0.062)</f>
        <v>3.8741547928636937</v>
      </c>
    </row>
    <row r="12" spans="2:20" x14ac:dyDescent="0.3">
      <c r="B12" s="2" t="s">
        <v>2</v>
      </c>
      <c r="C12">
        <f>+C10*C8</f>
        <v>0.1143413740949354</v>
      </c>
      <c r="D12" s="2" t="s">
        <v>17</v>
      </c>
    </row>
    <row r="14" spans="2:20" x14ac:dyDescent="0.3">
      <c r="B14" s="2" t="s">
        <v>18</v>
      </c>
      <c r="C14">
        <v>0.2</v>
      </c>
      <c r="D14" s="2" t="s">
        <v>21</v>
      </c>
    </row>
    <row r="16" spans="2:20" x14ac:dyDescent="0.3">
      <c r="B16" s="2" t="s">
        <v>19</v>
      </c>
      <c r="C16">
        <v>0.1</v>
      </c>
      <c r="D16" s="2" t="s">
        <v>21</v>
      </c>
    </row>
    <row r="18" spans="2:4" x14ac:dyDescent="0.3">
      <c r="B18" s="2" t="s">
        <v>20</v>
      </c>
      <c r="C18">
        <f>+C16+C14+C12</f>
        <v>0.41434137409493543</v>
      </c>
      <c r="D18" s="2" t="s">
        <v>17</v>
      </c>
    </row>
    <row r="19" spans="2:4" x14ac:dyDescent="0.3">
      <c r="B19" s="2" t="s">
        <v>20</v>
      </c>
      <c r="C19">
        <f>+IF(C18&gt;1.5,C18,1.5)</f>
        <v>1.5</v>
      </c>
      <c r="D19" s="2" t="s">
        <v>17</v>
      </c>
    </row>
    <row r="20" spans="2:4" x14ac:dyDescent="0.3">
      <c r="B20" s="2" t="s">
        <v>20</v>
      </c>
      <c r="C20">
        <f>+C19*0.001</f>
        <v>1.5E-3</v>
      </c>
      <c r="D20" s="2" t="s">
        <v>6</v>
      </c>
    </row>
    <row r="22" spans="2:4" x14ac:dyDescent="0.3">
      <c r="B22" s="2" t="s">
        <v>22</v>
      </c>
      <c r="C22">
        <v>1.2999999999999999E-2</v>
      </c>
    </row>
    <row r="23" spans="2:4" x14ac:dyDescent="0.3">
      <c r="B23" s="2" t="s">
        <v>24</v>
      </c>
      <c r="C23" s="4">
        <v>0.02</v>
      </c>
    </row>
    <row r="25" spans="2:4" x14ac:dyDescent="0.3">
      <c r="B25" s="2" t="s">
        <v>23</v>
      </c>
      <c r="C25">
        <f>1.548*(0.013*Hoja1!I9/(2%)^0.5)^(3/8)</f>
        <v>5.5219289130870743E-2</v>
      </c>
      <c r="D25" s="2" t="s">
        <v>8</v>
      </c>
    </row>
    <row r="26" spans="2:4" x14ac:dyDescent="0.3">
      <c r="B26" s="2" t="s">
        <v>23</v>
      </c>
      <c r="C26">
        <f>+C25*39.3701</f>
        <v>2.1739889350112942</v>
      </c>
      <c r="D26" s="2" t="s"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705C5-13D7-488A-8B78-8A0888D38462}">
  <dimension ref="B2:Y29"/>
  <sheetViews>
    <sheetView topLeftCell="H1" workbookViewId="0">
      <selection activeCell="K2" sqref="K2:V5"/>
    </sheetView>
  </sheetViews>
  <sheetFormatPr baseColWidth="10" defaultRowHeight="14.4" x14ac:dyDescent="0.3"/>
  <cols>
    <col min="2" max="2" width="11.5546875" style="2"/>
    <col min="11" max="11" width="19.109375" customWidth="1"/>
    <col min="12" max="12" width="13.5546875" customWidth="1"/>
    <col min="15" max="15" width="13.33203125" customWidth="1"/>
    <col min="17" max="17" width="14.44140625" customWidth="1"/>
    <col min="18" max="18" width="19.77734375" customWidth="1"/>
    <col min="19" max="19" width="14.21875" customWidth="1"/>
    <col min="21" max="21" width="15.21875" customWidth="1"/>
  </cols>
  <sheetData>
    <row r="2" spans="2:25" x14ac:dyDescent="0.3">
      <c r="B2" s="2" t="s">
        <v>25</v>
      </c>
      <c r="C2">
        <v>0.75</v>
      </c>
      <c r="D2" s="2"/>
    </row>
    <row r="3" spans="2:25" ht="43.8" customHeight="1" x14ac:dyDescent="0.3">
      <c r="D3" s="2"/>
      <c r="W3" s="5"/>
      <c r="X3" s="5"/>
      <c r="Y3" s="5"/>
    </row>
    <row r="4" spans="2:25" x14ac:dyDescent="0.3">
      <c r="B4" s="2" t="s">
        <v>26</v>
      </c>
      <c r="C4">
        <v>15</v>
      </c>
      <c r="D4" s="2" t="s">
        <v>8</v>
      </c>
      <c r="W4" s="2"/>
      <c r="X4" s="2"/>
    </row>
    <row r="5" spans="2:25" x14ac:dyDescent="0.3">
      <c r="B5" s="2" t="s">
        <v>27</v>
      </c>
      <c r="C5" s="1">
        <v>0.02</v>
      </c>
      <c r="D5" s="2"/>
    </row>
    <row r="6" spans="2:25" x14ac:dyDescent="0.3">
      <c r="B6" s="2" t="s">
        <v>8</v>
      </c>
      <c r="C6">
        <v>0.02</v>
      </c>
      <c r="D6" s="2"/>
    </row>
    <row r="8" spans="2:25" x14ac:dyDescent="0.3">
      <c r="B8" s="2" t="s">
        <v>28</v>
      </c>
      <c r="C8" s="3">
        <f>+(0.707*(1.1-C2)*C4^0.5)/(C5^0.5)</f>
        <v>6.7766973427326702</v>
      </c>
      <c r="D8" t="s">
        <v>29</v>
      </c>
    </row>
    <row r="10" spans="2:25" x14ac:dyDescent="0.3">
      <c r="B10" s="2" t="s">
        <v>3</v>
      </c>
      <c r="C10">
        <v>5</v>
      </c>
      <c r="D10" s="2" t="s">
        <v>4</v>
      </c>
    </row>
    <row r="11" spans="2:25" x14ac:dyDescent="0.3">
      <c r="D11" s="2"/>
    </row>
    <row r="12" spans="2:25" x14ac:dyDescent="0.3">
      <c r="B12" s="2" t="s">
        <v>30</v>
      </c>
      <c r="C12">
        <f>+C4/(60*C10)</f>
        <v>0.05</v>
      </c>
      <c r="D12" s="2" t="s">
        <v>29</v>
      </c>
    </row>
    <row r="13" spans="2:25" x14ac:dyDescent="0.3">
      <c r="D13" s="2"/>
    </row>
    <row r="14" spans="2:25" x14ac:dyDescent="0.3">
      <c r="B14" s="2" t="s">
        <v>31</v>
      </c>
      <c r="C14" s="3">
        <f>+C12+C8</f>
        <v>6.82669734273267</v>
      </c>
      <c r="D14" s="2" t="s">
        <v>29</v>
      </c>
    </row>
    <row r="15" spans="2:25" x14ac:dyDescent="0.3">
      <c r="D15" s="2"/>
    </row>
    <row r="16" spans="2:25" x14ac:dyDescent="0.3">
      <c r="B16" s="2" t="s">
        <v>32</v>
      </c>
      <c r="C16" s="3">
        <f>3483/((16+C14)^0.9946)</f>
        <v>155.18365858480743</v>
      </c>
      <c r="D16" s="2" t="s">
        <v>33</v>
      </c>
    </row>
    <row r="17" spans="2:4" x14ac:dyDescent="0.3">
      <c r="B17" s="2" t="s">
        <v>32</v>
      </c>
      <c r="C17">
        <f>+C16*2.78</f>
        <v>431.41057086576461</v>
      </c>
      <c r="D17" s="2" t="s">
        <v>34</v>
      </c>
    </row>
    <row r="18" spans="2:4" x14ac:dyDescent="0.3">
      <c r="D18" s="2"/>
    </row>
    <row r="19" spans="2:4" x14ac:dyDescent="0.3">
      <c r="B19" s="2" t="s">
        <v>5</v>
      </c>
      <c r="C19">
        <v>43</v>
      </c>
      <c r="D19" s="2" t="s">
        <v>7</v>
      </c>
    </row>
    <row r="20" spans="2:4" x14ac:dyDescent="0.3">
      <c r="B20" s="2" t="s">
        <v>5</v>
      </c>
      <c r="C20">
        <f>C19/10000</f>
        <v>4.3E-3</v>
      </c>
      <c r="D20" s="2" t="s">
        <v>35</v>
      </c>
    </row>
    <row r="21" spans="2:4" x14ac:dyDescent="0.3">
      <c r="D21" s="2"/>
    </row>
    <row r="22" spans="2:4" x14ac:dyDescent="0.3">
      <c r="B22" s="2" t="s">
        <v>36</v>
      </c>
      <c r="C22" s="3">
        <f>2.78*C2*C16*C20</f>
        <v>1.391299091042091</v>
      </c>
      <c r="D22" s="2" t="s">
        <v>17</v>
      </c>
    </row>
    <row r="23" spans="2:4" x14ac:dyDescent="0.3">
      <c r="B23" s="2" t="s">
        <v>36</v>
      </c>
      <c r="C23" s="3">
        <f>2.78*C2*C16*C20/1000</f>
        <v>1.3912990910420911E-3</v>
      </c>
      <c r="D23" s="2" t="s">
        <v>6</v>
      </c>
    </row>
    <row r="24" spans="2:4" x14ac:dyDescent="0.3">
      <c r="D24" s="2"/>
    </row>
    <row r="25" spans="2:4" x14ac:dyDescent="0.3">
      <c r="B25" s="2" t="s">
        <v>22</v>
      </c>
      <c r="C25">
        <v>1.2999999999999999E-2</v>
      </c>
      <c r="D25" s="2"/>
    </row>
    <row r="26" spans="2:4" x14ac:dyDescent="0.3">
      <c r="B26" s="2" t="s">
        <v>24</v>
      </c>
      <c r="C26" s="1">
        <v>0.02</v>
      </c>
      <c r="D26" s="2"/>
    </row>
    <row r="28" spans="2:4" x14ac:dyDescent="0.3">
      <c r="B28" s="2" t="s">
        <v>23</v>
      </c>
      <c r="C28">
        <f>1.548*(C25*C23/(C26^0.5))^((3/8))</f>
        <v>5.368330896518831E-2</v>
      </c>
      <c r="D28" s="2" t="s">
        <v>8</v>
      </c>
    </row>
    <row r="29" spans="2:4" x14ac:dyDescent="0.3">
      <c r="B29" s="2" t="s">
        <v>23</v>
      </c>
      <c r="C29">
        <f>+C28*39.3701</f>
        <v>2.1135172422903605</v>
      </c>
      <c r="D29" s="2" t="s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Diseño ARD</vt:lpstr>
      <vt:lpstr>Hoja3</vt:lpstr>
      <vt:lpstr>Hoja3!_Toc197702524</vt:lpstr>
      <vt:lpstr>Hoja3!_Toc197702525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C.S.</dc:creator>
  <cp:lastModifiedBy>Daniel  Carmona Sierra</cp:lastModifiedBy>
  <dcterms:created xsi:type="dcterms:W3CDTF">2015-06-05T18:19:34Z</dcterms:created>
  <dcterms:modified xsi:type="dcterms:W3CDTF">2025-06-05T23:20:38Z</dcterms:modified>
</cp:coreProperties>
</file>